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6" windowHeight="8184" activeTab="0"/>
  </bookViews>
  <sheets>
    <sheet name="Prijsofferte" sheetId="1" r:id="rId1"/>
    <sheet name="E4Y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<sst xmlns="http://schemas.openxmlformats.org/spreadsheetml/2006/main" count="220" uniqueCount="159">
  <si>
    <t>meter</t>
  </si>
  <si>
    <t>omtrek</t>
  </si>
  <si>
    <t>ja</t>
  </si>
  <si>
    <t>Polystyreen ?</t>
  </si>
  <si>
    <t>neen</t>
  </si>
  <si>
    <t>artikel</t>
  </si>
  <si>
    <t>hoeveelheid</t>
  </si>
  <si>
    <t>prijs per eenheid</t>
  </si>
  <si>
    <t>totaal</t>
  </si>
  <si>
    <t>Aluminium profielen (80x10)</t>
  </si>
  <si>
    <t>Aluminium profielen (50x10)</t>
  </si>
  <si>
    <t>Aluminium profiel (30x30)</t>
  </si>
  <si>
    <t>Isolatie 1,5mm vloer</t>
  </si>
  <si>
    <t>m²</t>
  </si>
  <si>
    <t>isolatie 0,6 mm</t>
  </si>
  <si>
    <t>kits</t>
  </si>
  <si>
    <t>tape plakken isolatie</t>
  </si>
  <si>
    <t>rol</t>
  </si>
  <si>
    <t>feuter</t>
  </si>
  <si>
    <t>lijm feuter</t>
  </si>
  <si>
    <t>oppervl liner nodig bad</t>
  </si>
  <si>
    <t>vloeibare PVC</t>
  </si>
  <si>
    <t>liter</t>
  </si>
  <si>
    <t>werkuren bad</t>
  </si>
  <si>
    <t>uur</t>
  </si>
  <si>
    <t>werkuren trap</t>
  </si>
  <si>
    <t>werkuren rolluikbak</t>
  </si>
  <si>
    <t>Vooraleer de werkzaamheden beginnen :</t>
  </si>
  <si>
    <t xml:space="preserve"> Inbouwdelen (spuitgat, lamp, skimmer) moeten ingebouwd zijn.</t>
  </si>
  <si>
    <t xml:space="preserve"> Hoekprofielen bovenop het zwembad moeten mooi horizontaal met siliconenkit bevestigd zijn (minstens 1 nacht kunnen drogen)</t>
  </si>
  <si>
    <t xml:space="preserve"> In geval van isolatie worden de hoekprofielen bovenop de isolatie geplaatst.</t>
  </si>
  <si>
    <t xml:space="preserve"> Isolatie of feuter moeten gelegd zijn</t>
  </si>
  <si>
    <t xml:space="preserve"> Zwembad moet droog en proper zijnµ</t>
  </si>
  <si>
    <t xml:space="preserve"> Na plaatsing neem de linelegger overschotten langer dan 3 meter terug mee. </t>
  </si>
  <si>
    <t xml:space="preserve"> Overig snijafval blijft ter plaatse</t>
  </si>
  <si>
    <t>rechthoek</t>
  </si>
  <si>
    <t>rond</t>
  </si>
  <si>
    <t>ovaal</t>
  </si>
  <si>
    <t>Vorm zwembad</t>
  </si>
  <si>
    <t>Trap</t>
  </si>
  <si>
    <t>kies hier</t>
  </si>
  <si>
    <t>Geen trap (ladder)</t>
  </si>
  <si>
    <t>Rom trap</t>
  </si>
  <si>
    <t>Binnen in zwembad over hele lengte</t>
  </si>
  <si>
    <t>Binnen in zwembad in hoek</t>
  </si>
  <si>
    <t>Rechthoek buiten zwembad</t>
  </si>
  <si>
    <t>diepte</t>
  </si>
  <si>
    <t>Bodem</t>
  </si>
  <si>
    <t xml:space="preserve">vlak </t>
  </si>
  <si>
    <t>Hellend</t>
  </si>
  <si>
    <t>Aantal treden trap</t>
  </si>
  <si>
    <t>Rolluikbak ?</t>
  </si>
  <si>
    <t>Oppervlakte wand bad</t>
  </si>
  <si>
    <t xml:space="preserve">oppervlakte bodem </t>
  </si>
  <si>
    <t>opp bodem bad</t>
  </si>
  <si>
    <t>opp trap</t>
  </si>
  <si>
    <t>opp rolluik</t>
  </si>
  <si>
    <t>Tot oppervlakte</t>
  </si>
  <si>
    <t>Oppervlakte + 15% verlies</t>
  </si>
  <si>
    <t>Vloerbedekking</t>
  </si>
  <si>
    <t>Wandbedekking</t>
  </si>
  <si>
    <t>feuterdoek</t>
  </si>
  <si>
    <t>Christophe code</t>
  </si>
  <si>
    <t>kleur liner</t>
  </si>
  <si>
    <t>Adira blauw</t>
  </si>
  <si>
    <t>Lichtblauw</t>
  </si>
  <si>
    <t>Groen</t>
  </si>
  <si>
    <t>Zand</t>
  </si>
  <si>
    <t>Wit</t>
  </si>
  <si>
    <t>Grijs</t>
  </si>
  <si>
    <t>Donker grijs</t>
  </si>
  <si>
    <t>Zwart vijver</t>
  </si>
  <si>
    <t>Groen vijver</t>
  </si>
  <si>
    <t>Mozaik donkerblauw</t>
  </si>
  <si>
    <t>mozaik lichtblauw</t>
  </si>
  <si>
    <t>Mozaik grijs</t>
  </si>
  <si>
    <t>Marmer</t>
  </si>
  <si>
    <t>Kies hier</t>
  </si>
  <si>
    <t>Siliconen kitten profielen</t>
  </si>
  <si>
    <t>stuks</t>
  </si>
  <si>
    <t>Gedetailleerde Info</t>
  </si>
  <si>
    <t>ZILX0130</t>
  </si>
  <si>
    <t>ZILX0140</t>
  </si>
  <si>
    <t>ZILX0150</t>
  </si>
  <si>
    <t>ZILX0160</t>
  </si>
  <si>
    <t>ZILX0170</t>
  </si>
  <si>
    <t>ZILX0180</t>
  </si>
  <si>
    <t>ZILX0190</t>
  </si>
  <si>
    <t>ZILX0200</t>
  </si>
  <si>
    <t>ZILX0210</t>
  </si>
  <si>
    <t>ZILX0220</t>
  </si>
  <si>
    <t>Zwart</t>
  </si>
  <si>
    <t>ZILX0165</t>
  </si>
  <si>
    <t>ZILX0500</t>
  </si>
  <si>
    <t>ZILX0505</t>
  </si>
  <si>
    <t>ZILX0508</t>
  </si>
  <si>
    <t>ZALX6030</t>
  </si>
  <si>
    <t>ZALX6020</t>
  </si>
  <si>
    <t>ZILX4112</t>
  </si>
  <si>
    <t>ZILX4122</t>
  </si>
  <si>
    <t>ZILX6330</t>
  </si>
  <si>
    <t>ZILX3110</t>
  </si>
  <si>
    <t>ZILX4210</t>
  </si>
  <si>
    <t>Vloeibare PVC donkerblauw</t>
  </si>
  <si>
    <t>Vloeibare PVC lichtblauw</t>
  </si>
  <si>
    <t>Vloeibare PVC grijs</t>
  </si>
  <si>
    <t>Vloeibare PVC zand</t>
  </si>
  <si>
    <t>Vloeibare PVC wit</t>
  </si>
  <si>
    <t>Vloeibare PVC groen</t>
  </si>
  <si>
    <t>Vloeibare PVC zwart</t>
  </si>
  <si>
    <t>ZILX6160</t>
  </si>
  <si>
    <t>ZILX6140</t>
  </si>
  <si>
    <t>ZILX6150</t>
  </si>
  <si>
    <t>ZILX6170</t>
  </si>
  <si>
    <t>ZILX6180</t>
  </si>
  <si>
    <t>ZILX6190</t>
  </si>
  <si>
    <t>ZILX6130</t>
  </si>
  <si>
    <t>reg</t>
  </si>
  <si>
    <t>ref</t>
  </si>
  <si>
    <t>emmers</t>
  </si>
  <si>
    <t>* = lengte ZONDER rom trap</t>
  </si>
  <si>
    <t>isolatie 10 mm</t>
  </si>
  <si>
    <t>isolatie 5mm</t>
  </si>
  <si>
    <t>Zwembadliner lasprofiel 1.5m  9 X 3cm</t>
  </si>
  <si>
    <t>Zwembadliner lasprofiel 2m  5X1cm</t>
  </si>
  <si>
    <t>ZILX0509</t>
  </si>
  <si>
    <t>Zwembadliner lasprofiel 1.5meter -  3x3 cm</t>
  </si>
  <si>
    <t>ZILX4152</t>
  </si>
  <si>
    <t>10mm Vloerisolatie zwembad 15m²</t>
  </si>
  <si>
    <t>ZILX4154</t>
  </si>
  <si>
    <t>10mm Vloerisolatie zwembad 37.5m²</t>
  </si>
  <si>
    <t>ZILX4215</t>
  </si>
  <si>
    <t>opp muur</t>
  </si>
  <si>
    <t>opp vloer</t>
  </si>
  <si>
    <t>aantal x 37m² van 10mm</t>
  </si>
  <si>
    <t>aantal x 37m² van 5mm</t>
  </si>
  <si>
    <t>aantal x 15m² van 10mm</t>
  </si>
  <si>
    <t>aantal x 15m² van 5mm</t>
  </si>
  <si>
    <t>Optie 1 : ondergrond = isolatie</t>
  </si>
  <si>
    <t>Prijsschatting</t>
  </si>
  <si>
    <t>schatting</t>
  </si>
  <si>
    <t>Optie 2 : ondergrond = feuter</t>
  </si>
  <si>
    <t xml:space="preserve">U heeft 2 prijsschattingen gekregen. </t>
  </si>
  <si>
    <t>De eerste is voor gebruik van isolatieschuim tussen zwembadwand en liner. Dit heeft het voordeel dat dit schuim oneffenheden opvangt,</t>
  </si>
  <si>
    <t>zacht is en warmte isoleert. De tweede offerte is voor het gebruik van zwembadfeuter (vilt). Hiervoor heeft u een perfect gladde ondergrond nodig.</t>
  </si>
  <si>
    <t>Dit is een prijsschatting. Na een bezoek van de linerlegger of doorsturen foto's kan dit een offerte worden.</t>
  </si>
  <si>
    <t>Aan de hand van de precieze berekening van nodige liner / snijafval kan de prijs nog aangepast worden.</t>
  </si>
  <si>
    <t xml:space="preserve"> Het totaalbedrag wordt betaald bij levering van de materialen</t>
  </si>
  <si>
    <t>Zwembadliner lasprofiel 3meter -  2x4 cm</t>
  </si>
  <si>
    <t>ZILX0511</t>
  </si>
  <si>
    <t>bussen</t>
  </si>
  <si>
    <t>lijm isolatie / feuter</t>
  </si>
  <si>
    <t>ZILX3120</t>
  </si>
  <si>
    <t>ZILX3125</t>
  </si>
  <si>
    <t>15m² Beschermvilt of feuter</t>
  </si>
  <si>
    <t>30m2 Beschermvilt of feuter</t>
  </si>
  <si>
    <t xml:space="preserve">ZILE0015 </t>
  </si>
  <si>
    <t>ZZZE6009 (ZILE0230 + ZILE0235)</t>
  </si>
  <si>
    <t>ZZZE 6009 (ZILE0045 + ZILE0035)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</si>
</sst>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2" fillId="0" borderId="0" xfId="56" applyFont="1" applyBorder="1">
      <alignment/>
      <protection/>
    </xf>
    <xf numFmtId="0" fontId="2" fillId="0" borderId="0" xfId="56" applyFill="1">
      <alignment/>
      <protection/>
    </xf>
    <xf numFmtId="0" fontId="2" fillId="0" borderId="0" xfId="56" applyFill="1" applyAlignment="1">
      <alignment horizontal="center"/>
      <protection/>
    </xf>
    <xf numFmtId="0" fontId="4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56" applyProtection="1">
      <alignment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2" fillId="0" borderId="11" xfId="56" applyBorder="1" applyProtection="1">
      <alignment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2" fillId="0" borderId="13" xfId="56" applyBorder="1" applyProtection="1">
      <alignment/>
      <protection locked="0"/>
    </xf>
    <xf numFmtId="0" fontId="44" fillId="0" borderId="12" xfId="56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4" xfId="56" applyBorder="1" applyProtection="1">
      <alignment/>
      <protection locked="0"/>
    </xf>
    <xf numFmtId="0" fontId="44" fillId="0" borderId="15" xfId="56" applyFont="1" applyBorder="1" applyAlignment="1" applyProtection="1">
      <alignment horizontal="center"/>
      <protection locked="0"/>
    </xf>
    <xf numFmtId="0" fontId="2" fillId="0" borderId="12" xfId="56" applyBorder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4" fillId="0" borderId="12" xfId="56" applyFont="1" applyBorder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/>
      <protection/>
    </xf>
    <xf numFmtId="0" fontId="43" fillId="0" borderId="1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38.28125" style="0" customWidth="1"/>
    <col min="2" max="2" width="15.8515625" style="0" customWidth="1"/>
    <col min="3" max="3" width="9.8515625" style="0" customWidth="1"/>
    <col min="4" max="4" width="18.140625" style="0" customWidth="1"/>
    <col min="6" max="6" width="12.8515625" style="0" customWidth="1"/>
    <col min="7" max="7" width="7.57421875" style="0" customWidth="1"/>
    <col min="10" max="10" width="10.28125" style="0" customWidth="1"/>
    <col min="11" max="11" width="9.57421875" style="0" customWidth="1"/>
    <col min="12" max="12" width="11.7109375" style="0" customWidth="1"/>
    <col min="15" max="17" width="8.8515625" style="0" hidden="1" customWidth="1"/>
    <col min="18" max="18" width="15.00390625" style="0" hidden="1" customWidth="1"/>
    <col min="19" max="22" width="8.8515625" style="0" hidden="1" customWidth="1"/>
    <col min="23" max="23" width="19.28125" style="0" hidden="1" customWidth="1"/>
    <col min="24" max="24" width="9.140625" style="0" hidden="1" customWidth="1"/>
    <col min="25" max="25" width="19.57421875" style="0" hidden="1" customWidth="1"/>
    <col min="26" max="26" width="23.8515625" style="0" hidden="1" customWidth="1"/>
    <col min="27" max="28" width="9.140625" style="0" hidden="1" customWidth="1"/>
    <col min="29" max="29" width="28.140625" style="0" hidden="1" customWidth="1"/>
    <col min="30" max="30" width="9.140625" style="0" hidden="1" customWidth="1"/>
    <col min="31" max="33" width="9.140625" style="0" customWidth="1"/>
  </cols>
  <sheetData>
    <row r="1" spans="1:17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7" ht="14.25">
      <c r="A2" s="8" t="s">
        <v>38</v>
      </c>
      <c r="B2" s="9" t="s">
        <v>35</v>
      </c>
      <c r="C2" s="7"/>
      <c r="D2" s="7"/>
      <c r="E2" s="7"/>
      <c r="F2" s="10" t="str">
        <f>IF(B2="rond","diameter","lengte * ")</f>
        <v>lengte * </v>
      </c>
      <c r="G2" s="11">
        <v>9</v>
      </c>
      <c r="H2" s="12" t="s">
        <v>0</v>
      </c>
      <c r="I2" s="8"/>
      <c r="J2" s="10" t="str">
        <f>IF(B2="rond"," ","Breedte")</f>
        <v>Breedte</v>
      </c>
      <c r="K2" s="13">
        <v>4.5</v>
      </c>
      <c r="L2" s="12" t="str">
        <f>IF(B2="rond"," ","meter")</f>
        <v>meter</v>
      </c>
      <c r="M2" s="7"/>
      <c r="N2" s="7"/>
      <c r="O2" s="7"/>
      <c r="P2" s="7"/>
      <c r="Q2" s="7"/>
      <c r="W2" t="s">
        <v>40</v>
      </c>
      <c r="Z2" t="s">
        <v>52</v>
      </c>
      <c r="AA2">
        <f>S4*S3</f>
        <v>40.5</v>
      </c>
    </row>
    <row r="3" spans="1:27" ht="14.25">
      <c r="A3" s="7" t="s">
        <v>47</v>
      </c>
      <c r="B3" s="9" t="s">
        <v>48</v>
      </c>
      <c r="C3" s="7"/>
      <c r="D3" s="7"/>
      <c r="E3" s="7"/>
      <c r="F3" s="14" t="str">
        <f>IF(B3="Hellend","Diepte min","Diepte")</f>
        <v>Diepte</v>
      </c>
      <c r="G3" s="11">
        <v>1.5</v>
      </c>
      <c r="H3" s="15" t="s">
        <v>0</v>
      </c>
      <c r="I3" s="7"/>
      <c r="J3" s="14" t="str">
        <f>IF(B3="Hellend","Diepte max"," ")</f>
        <v> </v>
      </c>
      <c r="K3" s="11"/>
      <c r="L3" s="15" t="str">
        <f>IF(B3="Hellend","meter"," ")</f>
        <v> </v>
      </c>
      <c r="M3" s="7"/>
      <c r="N3" s="7"/>
      <c r="O3" s="7"/>
      <c r="P3" s="7"/>
      <c r="Q3" s="7"/>
      <c r="R3" t="s">
        <v>46</v>
      </c>
      <c r="S3">
        <f>IF(K3&gt;0.1,(G3+K3)/2,G3)</f>
        <v>1.5</v>
      </c>
      <c r="W3" t="s">
        <v>35</v>
      </c>
      <c r="Z3" t="s">
        <v>53</v>
      </c>
      <c r="AA3">
        <f>S5+S6</f>
        <v>40.5</v>
      </c>
    </row>
    <row r="4" spans="1:27" ht="14.25">
      <c r="A4" s="7" t="s">
        <v>39</v>
      </c>
      <c r="B4" s="31" t="s">
        <v>43</v>
      </c>
      <c r="C4" s="32"/>
      <c r="D4" s="32"/>
      <c r="E4" s="7"/>
      <c r="F4" s="16">
        <f>IF(B4=W11,"Diameter trap",IF(B4=W12,"Lengte",""))</f>
      </c>
      <c r="G4" s="17"/>
      <c r="H4" s="18">
        <f>IF(B4=W11,"Diameter trap",IF(B4=W12,"meter",""))</f>
      </c>
      <c r="I4" s="7"/>
      <c r="J4" s="19">
        <f>IF(B4=W11," ",IF(B4=W12,"Breedte",""))</f>
      </c>
      <c r="K4" s="20"/>
      <c r="L4" s="15">
        <f>IF(B4=W11," ",IF(B4=W12,"meter",""))</f>
      </c>
      <c r="M4" s="7"/>
      <c r="N4" s="7"/>
      <c r="O4" s="7"/>
      <c r="P4" s="7"/>
      <c r="Q4" s="7"/>
      <c r="R4" t="s">
        <v>1</v>
      </c>
      <c r="S4">
        <f>IF(B4=W11,G2+G2+K2+K2-G4+(3.14*G4/2),IF(B4=W12,G2+G2+K2+K2+K4+K4,IF(B2=W4,2*3.14*G2/2,G2+G2+K2+K2)))</f>
        <v>27</v>
      </c>
      <c r="W4" t="s">
        <v>36</v>
      </c>
      <c r="Z4" t="s">
        <v>56</v>
      </c>
      <c r="AA4">
        <f>(G7*K7)+((G7+G7+K7+K7)*K8)</f>
        <v>0</v>
      </c>
    </row>
    <row r="5" spans="1:27" ht="14.25">
      <c r="A5" s="8" t="s">
        <v>50</v>
      </c>
      <c r="B5" s="9">
        <v>3</v>
      </c>
      <c r="C5" s="8"/>
      <c r="D5" s="8"/>
      <c r="E5" s="8"/>
      <c r="F5" s="10" t="str">
        <f>IF(B5&gt;0.1,"Aantal ronde treden of aantal treden langer dan 3 meter","")</f>
        <v>Aantal ronde treden of aantal treden langer dan 3 meter</v>
      </c>
      <c r="G5" s="13"/>
      <c r="H5" s="21"/>
      <c r="I5" s="21"/>
      <c r="J5" s="22"/>
      <c r="K5" s="23"/>
      <c r="L5" s="7"/>
      <c r="M5" s="7"/>
      <c r="N5" s="7"/>
      <c r="O5" s="7"/>
      <c r="P5" s="7"/>
      <c r="Q5" s="7"/>
      <c r="R5" t="s">
        <v>54</v>
      </c>
      <c r="S5">
        <f>IF(B2=W4,G2*G2,G2*K2)</f>
        <v>40.5</v>
      </c>
      <c r="W5" t="s">
        <v>37</v>
      </c>
      <c r="Z5" t="s">
        <v>57</v>
      </c>
      <c r="AA5">
        <f>AA2+AA3+AA4</f>
        <v>81</v>
      </c>
    </row>
    <row r="6" spans="1:27" ht="14.25">
      <c r="A6" s="8"/>
      <c r="B6" s="24"/>
      <c r="C6" s="8"/>
      <c r="D6" s="8"/>
      <c r="E6" s="8"/>
      <c r="F6" s="10" t="str">
        <f>IF(B5&gt;0.1,"Totale lengte van alle treden =","")</f>
        <v>Totale lengte van alle treden =</v>
      </c>
      <c r="G6" s="13"/>
      <c r="H6" s="21"/>
      <c r="I6" s="25"/>
      <c r="J6" s="18" t="str">
        <f>IF(B5&gt;0.1,"meter","")</f>
        <v>meter</v>
      </c>
      <c r="K6" s="26"/>
      <c r="L6" s="7"/>
      <c r="M6" s="7"/>
      <c r="N6" s="7"/>
      <c r="O6" s="7"/>
      <c r="P6" s="7"/>
      <c r="Q6" s="7"/>
      <c r="R6" t="s">
        <v>55</v>
      </c>
      <c r="S6">
        <f>IF(B4=W11,G4*G4/2,IF(B4=W12,G4*K4,0))</f>
        <v>0</v>
      </c>
      <c r="T6" t="s">
        <v>133</v>
      </c>
      <c r="U6" t="s">
        <v>132</v>
      </c>
      <c r="Z6" t="s">
        <v>58</v>
      </c>
      <c r="AA6">
        <f>AA5*1.15</f>
        <v>93.14999999999999</v>
      </c>
    </row>
    <row r="7" spans="1:21" ht="14.25">
      <c r="A7" s="7" t="s">
        <v>51</v>
      </c>
      <c r="B7" s="9" t="s">
        <v>4</v>
      </c>
      <c r="C7" s="7"/>
      <c r="D7" s="7"/>
      <c r="E7" s="7"/>
      <c r="F7" s="10" t="str">
        <f>IF(B7="ja","lengte"," ")</f>
        <v> </v>
      </c>
      <c r="G7" s="11"/>
      <c r="H7" s="12" t="str">
        <f>IF(B7="ja","meter"," ")</f>
        <v> </v>
      </c>
      <c r="I7" s="8"/>
      <c r="J7" s="10">
        <f>IF(B7="ja","Breedte ","")</f>
      </c>
      <c r="K7" s="13"/>
      <c r="L7" s="12" t="str">
        <f>IF(B7="ja","meter"," ")</f>
        <v> </v>
      </c>
      <c r="M7" s="7"/>
      <c r="Q7" s="29"/>
      <c r="R7" t="s">
        <v>121</v>
      </c>
      <c r="S7">
        <f>T7+U7</f>
        <v>84</v>
      </c>
      <c r="T7">
        <f>IF(B10=W38,INT(S5+S6)+2,0)</f>
        <v>42</v>
      </c>
      <c r="U7">
        <f>IF(B11=W38,INT(S4*S3)+2,0)</f>
        <v>42</v>
      </c>
    </row>
    <row r="8" spans="1:23" ht="14.25">
      <c r="A8" s="7"/>
      <c r="B8" s="27"/>
      <c r="C8" s="7"/>
      <c r="D8" s="7"/>
      <c r="E8" s="7"/>
      <c r="F8" s="7"/>
      <c r="G8" s="7"/>
      <c r="H8" s="7"/>
      <c r="I8" s="7"/>
      <c r="J8" s="14">
        <f>IF(B7="ja","Diepte ","")</f>
      </c>
      <c r="K8" s="11"/>
      <c r="L8" s="15" t="str">
        <f>IF(B7="ja","meter"," ")</f>
        <v> </v>
      </c>
      <c r="M8" s="7"/>
      <c r="N8" s="7"/>
      <c r="O8" s="7"/>
      <c r="P8" s="7"/>
      <c r="Q8" s="7"/>
      <c r="R8" t="s">
        <v>122</v>
      </c>
      <c r="S8">
        <f>T8+U8</f>
        <v>0</v>
      </c>
      <c r="T8">
        <f>IF(B10=W39,INT(S5+S6)+2,0)</f>
        <v>0</v>
      </c>
      <c r="U8">
        <f>IF(B11=W39,INT(S4*S3)+2,0)</f>
        <v>0</v>
      </c>
      <c r="W8" t="s">
        <v>40</v>
      </c>
    </row>
    <row r="9" spans="1:23" ht="14.25">
      <c r="A9" s="7" t="s">
        <v>3</v>
      </c>
      <c r="B9" s="9" t="s">
        <v>4</v>
      </c>
      <c r="C9" s="7"/>
      <c r="D9" s="7"/>
      <c r="E9" s="7"/>
      <c r="F9" s="7" t="s">
        <v>120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t="s">
        <v>18</v>
      </c>
      <c r="S9">
        <f>T9+U9</f>
        <v>0</v>
      </c>
      <c r="T9">
        <f>IF(B10=W39,INT(S5+S6)+2,0)</f>
        <v>0</v>
      </c>
      <c r="U9">
        <f>IF(B11=W39,INT(S4*S3)+2,0)</f>
        <v>0</v>
      </c>
      <c r="W9" t="s">
        <v>43</v>
      </c>
    </row>
    <row r="10" spans="1:23" ht="14.25">
      <c r="A10" s="7" t="s">
        <v>59</v>
      </c>
      <c r="B10" s="9" t="s">
        <v>121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W10" t="s">
        <v>44</v>
      </c>
    </row>
    <row r="11" spans="1:23" ht="14.25">
      <c r="A11" s="7" t="s">
        <v>60</v>
      </c>
      <c r="B11" s="9" t="s">
        <v>121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t="s">
        <v>134</v>
      </c>
      <c r="S11" t="s">
        <v>136</v>
      </c>
      <c r="W11" t="s">
        <v>42</v>
      </c>
    </row>
    <row r="12" spans="1:23" ht="14.25">
      <c r="A12" s="7"/>
      <c r="B12" s="7"/>
      <c r="C12" s="7"/>
      <c r="D12" s="7"/>
      <c r="E12" s="7"/>
      <c r="F12" s="7"/>
      <c r="G12" s="7"/>
      <c r="H12" s="7"/>
      <c r="I12" s="7"/>
      <c r="J12" s="28"/>
      <c r="K12" s="7"/>
      <c r="L12" s="7"/>
      <c r="M12" s="7"/>
      <c r="N12" s="7"/>
      <c r="O12" s="7"/>
      <c r="P12" s="7"/>
      <c r="Q12" s="7">
        <f>IF($S$7=0,"",IF(U11="x","",IF(U12="","","x")))</f>
      </c>
      <c r="R12">
        <v>1</v>
      </c>
      <c r="S12">
        <v>0</v>
      </c>
      <c r="T12">
        <f>R12*37+S12*15</f>
        <v>37</v>
      </c>
      <c r="U12">
        <f>IF(T12&lt;$S$7,"","x")</f>
      </c>
      <c r="W12" t="s">
        <v>45</v>
      </c>
    </row>
    <row r="13" spans="1:23" ht="14.25">
      <c r="A13" s="7" t="s">
        <v>63</v>
      </c>
      <c r="B13" s="9" t="s">
        <v>65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aca="true" t="shared" si="0" ref="Q13:Q21">IF($S$7=0,"",IF(U12="x","",IF(U13="","","x")))</f>
      </c>
      <c r="R13">
        <v>1</v>
      </c>
      <c r="S13">
        <v>1</v>
      </c>
      <c r="T13">
        <f aca="true" t="shared" si="1" ref="T13:T21">R13*37+S13*15</f>
        <v>52</v>
      </c>
      <c r="U13">
        <f aca="true" t="shared" si="2" ref="U13:U21">IF(T13&lt;$S$7,"","x")</f>
      </c>
      <c r="W13" t="s">
        <v>41</v>
      </c>
    </row>
    <row r="14" spans="1:21" ht="14.25">
      <c r="A14" s="7"/>
      <c r="B14" s="7"/>
      <c r="C14" s="7"/>
      <c r="D14" s="7"/>
      <c r="E14" s="7"/>
      <c r="F14" s="7"/>
      <c r="G14" s="7"/>
      <c r="H14" s="7"/>
      <c r="I14" s="7"/>
      <c r="J14" s="28"/>
      <c r="K14" s="7"/>
      <c r="L14" s="7"/>
      <c r="M14" s="7"/>
      <c r="N14" s="7"/>
      <c r="O14" s="7"/>
      <c r="P14" s="7"/>
      <c r="Q14" s="7">
        <f t="shared" si="0"/>
      </c>
      <c r="R14">
        <v>2</v>
      </c>
      <c r="S14">
        <v>0</v>
      </c>
      <c r="T14">
        <f t="shared" si="1"/>
        <v>74</v>
      </c>
      <c r="U14">
        <f t="shared" si="2"/>
      </c>
    </row>
    <row r="15" spans="1:2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str">
        <f t="shared" si="0"/>
        <v>x</v>
      </c>
      <c r="R15">
        <v>2</v>
      </c>
      <c r="S15">
        <v>1</v>
      </c>
      <c r="T15">
        <f t="shared" si="1"/>
        <v>89</v>
      </c>
      <c r="U15" t="str">
        <f t="shared" si="2"/>
        <v>x</v>
      </c>
      <c r="W15" t="s">
        <v>40</v>
      </c>
    </row>
    <row r="16" spans="1:23" ht="14.25">
      <c r="A16" s="7" t="s">
        <v>138</v>
      </c>
      <c r="B16" s="7"/>
      <c r="C16" s="7"/>
      <c r="D16" s="7"/>
      <c r="E16" s="7"/>
      <c r="F16" s="7"/>
      <c r="G16" s="7"/>
      <c r="H16" s="7"/>
      <c r="I16" s="7"/>
      <c r="J16" s="28"/>
      <c r="K16" s="7"/>
      <c r="L16" s="7"/>
      <c r="M16" s="7"/>
      <c r="N16" s="7"/>
      <c r="O16" s="7"/>
      <c r="P16" s="7"/>
      <c r="Q16" s="7">
        <f t="shared" si="0"/>
      </c>
      <c r="R16">
        <v>3</v>
      </c>
      <c r="S16">
        <v>0</v>
      </c>
      <c r="T16">
        <f t="shared" si="1"/>
        <v>111</v>
      </c>
      <c r="U16" t="str">
        <f t="shared" si="2"/>
        <v>x</v>
      </c>
      <c r="W16" t="s">
        <v>48</v>
      </c>
    </row>
    <row r="17" spans="7:23" ht="14.25">
      <c r="G17" s="1"/>
      <c r="H17" s="1"/>
      <c r="I17" s="1"/>
      <c r="J17" s="6"/>
      <c r="Q17" s="7">
        <f t="shared" si="0"/>
      </c>
      <c r="R17">
        <v>3</v>
      </c>
      <c r="S17">
        <v>1</v>
      </c>
      <c r="T17">
        <f t="shared" si="1"/>
        <v>126</v>
      </c>
      <c r="U17" t="str">
        <f t="shared" si="2"/>
        <v>x</v>
      </c>
      <c r="W17" t="s">
        <v>49</v>
      </c>
    </row>
    <row r="18" spans="1:21" ht="14.25">
      <c r="A18" s="3" t="s">
        <v>139</v>
      </c>
      <c r="B18" s="1"/>
      <c r="C18" s="1"/>
      <c r="D18" s="1"/>
      <c r="E18" s="1"/>
      <c r="G18" s="1"/>
      <c r="H18" s="1"/>
      <c r="I18" s="1"/>
      <c r="Q18" s="7">
        <f t="shared" si="0"/>
      </c>
      <c r="R18">
        <v>4</v>
      </c>
      <c r="S18">
        <v>0</v>
      </c>
      <c r="T18">
        <f t="shared" si="1"/>
        <v>148</v>
      </c>
      <c r="U18" t="str">
        <f t="shared" si="2"/>
        <v>x</v>
      </c>
    </row>
    <row r="19" spans="1:21" ht="14.25">
      <c r="A19" s="1" t="s">
        <v>5</v>
      </c>
      <c r="B19" s="2" t="s">
        <v>6</v>
      </c>
      <c r="C19" s="2"/>
      <c r="D19" s="2" t="s">
        <v>7</v>
      </c>
      <c r="E19" s="2" t="s">
        <v>8</v>
      </c>
      <c r="F19" s="5" t="s">
        <v>118</v>
      </c>
      <c r="G19" s="1"/>
      <c r="H19" s="1"/>
      <c r="I19" s="1"/>
      <c r="J19" s="6"/>
      <c r="Q19" s="7">
        <f t="shared" si="0"/>
      </c>
      <c r="R19">
        <v>4</v>
      </c>
      <c r="S19">
        <v>1</v>
      </c>
      <c r="T19">
        <f t="shared" si="1"/>
        <v>163</v>
      </c>
      <c r="U19" t="str">
        <f t="shared" si="2"/>
        <v>x</v>
      </c>
    </row>
    <row r="20" spans="1:23" ht="14.25" hidden="1">
      <c r="A20" s="30" t="s">
        <v>123</v>
      </c>
      <c r="B20" s="1">
        <f>B102</f>
        <v>0</v>
      </c>
      <c r="C20" s="1" t="str">
        <f>C102</f>
        <v>meter</v>
      </c>
      <c r="D20" s="1">
        <v>18</v>
      </c>
      <c r="E20" s="1">
        <f>B20*D20</f>
        <v>0</v>
      </c>
      <c r="F20" s="1" t="s">
        <v>93</v>
      </c>
      <c r="G20" s="1"/>
      <c r="H20" s="1"/>
      <c r="I20" s="1"/>
      <c r="J20" s="30"/>
      <c r="K20" s="30"/>
      <c r="L20" s="30"/>
      <c r="M20" s="30"/>
      <c r="N20" s="30"/>
      <c r="O20" s="30"/>
      <c r="P20" s="30"/>
      <c r="Q20" s="7">
        <f t="shared" si="0"/>
      </c>
      <c r="R20" s="30">
        <v>5</v>
      </c>
      <c r="S20">
        <v>0</v>
      </c>
      <c r="T20">
        <f t="shared" si="1"/>
        <v>185</v>
      </c>
      <c r="U20" t="str">
        <f t="shared" si="2"/>
        <v>x</v>
      </c>
      <c r="V20" s="30"/>
      <c r="W20" t="s">
        <v>40</v>
      </c>
    </row>
    <row r="21" spans="1:23" ht="14.25" hidden="1">
      <c r="A21" s="30" t="s">
        <v>124</v>
      </c>
      <c r="B21" s="1">
        <f>B103</f>
        <v>29</v>
      </c>
      <c r="C21" s="1" t="str">
        <f>C103</f>
        <v>meter</v>
      </c>
      <c r="D21" s="1">
        <v>12</v>
      </c>
      <c r="E21" s="1">
        <f aca="true" t="shared" si="3" ref="E21:E26">B21*D21</f>
        <v>348</v>
      </c>
      <c r="F21" s="1" t="s">
        <v>94</v>
      </c>
      <c r="G21" s="1"/>
      <c r="H21" s="1"/>
      <c r="I21" s="1"/>
      <c r="J21" s="30"/>
      <c r="K21" s="30"/>
      <c r="L21" s="30"/>
      <c r="M21" s="30"/>
      <c r="N21" s="30"/>
      <c r="O21" s="30"/>
      <c r="P21" s="30"/>
      <c r="Q21" s="7">
        <f t="shared" si="0"/>
      </c>
      <c r="R21" s="30">
        <v>5</v>
      </c>
      <c r="S21">
        <v>1</v>
      </c>
      <c r="T21">
        <f t="shared" si="1"/>
        <v>200</v>
      </c>
      <c r="U21" t="str">
        <f t="shared" si="2"/>
        <v>x</v>
      </c>
      <c r="V21" s="30"/>
      <c r="W21">
        <v>0</v>
      </c>
    </row>
    <row r="22" spans="1:23" ht="14.25" hidden="1">
      <c r="A22" s="30" t="s">
        <v>126</v>
      </c>
      <c r="B22" s="1">
        <f>B104</f>
        <v>1</v>
      </c>
      <c r="C22" s="1" t="str">
        <f>C104</f>
        <v>meter</v>
      </c>
      <c r="D22" s="1">
        <v>12</v>
      </c>
      <c r="E22" s="1">
        <f t="shared" si="3"/>
        <v>12</v>
      </c>
      <c r="F22" s="1" t="s">
        <v>125</v>
      </c>
      <c r="G22" s="1"/>
      <c r="H22" s="1"/>
      <c r="I22" s="1"/>
      <c r="J22" s="30"/>
      <c r="K22" s="30"/>
      <c r="L22" s="30"/>
      <c r="M22" s="30"/>
      <c r="N22" s="30"/>
      <c r="O22" s="30"/>
      <c r="P22" s="30"/>
      <c r="Q22" s="30"/>
      <c r="S22" s="30"/>
      <c r="T22" s="30"/>
      <c r="U22" s="30"/>
      <c r="V22" s="30"/>
      <c r="W22">
        <v>1</v>
      </c>
    </row>
    <row r="23" spans="1:22" ht="14.25">
      <c r="A23" s="30" t="s">
        <v>148</v>
      </c>
      <c r="B23" s="1">
        <f>INT(((B20+B22+B21*0.66)/2)+0.49)</f>
        <v>10</v>
      </c>
      <c r="C23" s="1"/>
      <c r="D23" s="1">
        <v>24</v>
      </c>
      <c r="E23" s="1">
        <f t="shared" si="3"/>
        <v>240</v>
      </c>
      <c r="F23" s="1" t="s">
        <v>149</v>
      </c>
      <c r="G23" s="1"/>
      <c r="H23" s="1"/>
      <c r="I23" s="1"/>
      <c r="J23" s="30"/>
      <c r="K23" s="30"/>
      <c r="L23" s="30"/>
      <c r="M23" s="30"/>
      <c r="N23" s="30"/>
      <c r="O23" s="30"/>
      <c r="P23" s="30"/>
      <c r="Q23" s="30"/>
      <c r="S23" s="30"/>
      <c r="T23" s="30"/>
      <c r="U23" s="30"/>
      <c r="V23" s="30"/>
    </row>
    <row r="24" spans="1:23" ht="14.25">
      <c r="A24" s="30" t="str">
        <f>A105</f>
        <v>Siliconen kitten profielen</v>
      </c>
      <c r="B24" s="1">
        <f>B105</f>
        <v>3</v>
      </c>
      <c r="C24" s="1" t="str">
        <f>C105</f>
        <v>stuks</v>
      </c>
      <c r="D24" s="1">
        <f>D105</f>
        <v>25</v>
      </c>
      <c r="E24" s="1">
        <f t="shared" si="3"/>
        <v>75</v>
      </c>
      <c r="F24" s="1" t="s">
        <v>96</v>
      </c>
      <c r="G24" s="1"/>
      <c r="H24" s="1"/>
      <c r="J24" s="30"/>
      <c r="K24" s="30"/>
      <c r="L24" s="30"/>
      <c r="M24" s="30"/>
      <c r="N24" s="30"/>
      <c r="O24" s="30"/>
      <c r="P24" s="30"/>
      <c r="Q24" s="30"/>
      <c r="R24" t="s">
        <v>135</v>
      </c>
      <c r="S24" t="s">
        <v>137</v>
      </c>
      <c r="U24" s="30"/>
      <c r="V24" s="30"/>
      <c r="W24">
        <v>2</v>
      </c>
    </row>
    <row r="25" spans="1:23" ht="14.25">
      <c r="A25" s="30" t="s">
        <v>130</v>
      </c>
      <c r="B25" s="1">
        <f>IF(S7=0,0,VLOOKUP("x",Q12:T21,2,FALSE))</f>
        <v>2</v>
      </c>
      <c r="C25" s="1" t="s">
        <v>79</v>
      </c>
      <c r="D25" s="1">
        <v>300</v>
      </c>
      <c r="E25" s="1">
        <f t="shared" si="3"/>
        <v>600</v>
      </c>
      <c r="F25" s="1" t="s">
        <v>129</v>
      </c>
      <c r="G25" s="1"/>
      <c r="H25" s="1"/>
      <c r="K25" s="30"/>
      <c r="L25" s="30"/>
      <c r="M25" s="30"/>
      <c r="N25" s="30"/>
      <c r="O25" s="30"/>
      <c r="P25" s="30"/>
      <c r="Q25" s="7">
        <f>IF($S$8=0,"",IF(U24="x","",IF(U25="","","x")))</f>
      </c>
      <c r="R25">
        <v>1</v>
      </c>
      <c r="S25">
        <v>0</v>
      </c>
      <c r="T25">
        <f>R25*37+S25*15</f>
        <v>37</v>
      </c>
      <c r="U25" t="str">
        <f>IF(T25&lt;$S$8,"","x")</f>
        <v>x</v>
      </c>
      <c r="V25" s="30"/>
      <c r="W25">
        <v>3</v>
      </c>
    </row>
    <row r="26" spans="1:23" ht="14.25">
      <c r="A26" s="30" t="s">
        <v>128</v>
      </c>
      <c r="B26" s="4">
        <f>IF(S7=0,0,VLOOKUP("x",Q12:T21,3,FALSE))</f>
        <v>1</v>
      </c>
      <c r="C26" s="1" t="s">
        <v>79</v>
      </c>
      <c r="D26" s="4">
        <v>150</v>
      </c>
      <c r="E26" s="4">
        <f t="shared" si="3"/>
        <v>150</v>
      </c>
      <c r="F26" s="1" t="s">
        <v>127</v>
      </c>
      <c r="G26" s="1"/>
      <c r="H26" s="1"/>
      <c r="I26" s="1"/>
      <c r="J26" s="30"/>
      <c r="K26" s="30"/>
      <c r="L26" s="30"/>
      <c r="M26" s="30"/>
      <c r="N26" s="30"/>
      <c r="O26" s="30"/>
      <c r="P26" s="30"/>
      <c r="Q26" s="7">
        <f aca="true" t="shared" si="4" ref="Q26:Q34">IF($S$8=0,"",IF(U25="x","",IF(U26="","","x")))</f>
      </c>
      <c r="R26">
        <v>1</v>
      </c>
      <c r="S26">
        <v>1</v>
      </c>
      <c r="T26">
        <f aca="true" t="shared" si="5" ref="T26:T34">R26*37+S26*15</f>
        <v>52</v>
      </c>
      <c r="U26" t="str">
        <f aca="true" t="shared" si="6" ref="U26:U34">IF(T26&lt;$S$8,"","x")</f>
        <v>x</v>
      </c>
      <c r="V26" s="30"/>
      <c r="W26">
        <v>4</v>
      </c>
    </row>
    <row r="27" spans="1:23" ht="14.25">
      <c r="A27" t="s">
        <v>155</v>
      </c>
      <c r="B27" s="1">
        <f>INT((B46*1.1)/30)</f>
        <v>0</v>
      </c>
      <c r="C27" s="1" t="s">
        <v>79</v>
      </c>
      <c r="D27" s="1">
        <v>150</v>
      </c>
      <c r="E27" s="1">
        <f>E46</f>
        <v>0</v>
      </c>
      <c r="F27" t="s">
        <v>153</v>
      </c>
      <c r="G27" s="1"/>
      <c r="H27" s="1"/>
      <c r="K27" s="30"/>
      <c r="L27" s="30"/>
      <c r="M27" s="30"/>
      <c r="N27" s="30"/>
      <c r="O27" s="30"/>
      <c r="P27" s="30"/>
      <c r="Q27" s="7">
        <f>IF($S$8=0,"",IF(U26="x","",IF(U27="","","x")))</f>
      </c>
      <c r="R27">
        <v>2</v>
      </c>
      <c r="S27">
        <v>0</v>
      </c>
      <c r="T27">
        <f t="shared" si="5"/>
        <v>74</v>
      </c>
      <c r="U27" t="str">
        <f t="shared" si="6"/>
        <v>x</v>
      </c>
      <c r="V27" s="30"/>
      <c r="W27">
        <v>5</v>
      </c>
    </row>
    <row r="28" spans="1:23" ht="14.25">
      <c r="A28" s="30" t="s">
        <v>154</v>
      </c>
      <c r="B28">
        <f>INT(((B46-(B27*30))/15)+0.49)</f>
        <v>0</v>
      </c>
      <c r="C28" s="1" t="s">
        <v>79</v>
      </c>
      <c r="D28" s="4">
        <v>100</v>
      </c>
      <c r="E28" s="4">
        <f>B28*D28</f>
        <v>0</v>
      </c>
      <c r="F28" s="1" t="s">
        <v>152</v>
      </c>
      <c r="G28" s="1"/>
      <c r="H28" s="1"/>
      <c r="I28" s="1"/>
      <c r="J28" s="30"/>
      <c r="K28" s="30"/>
      <c r="L28" s="30"/>
      <c r="M28" s="30"/>
      <c r="N28" s="30"/>
      <c r="O28" s="30"/>
      <c r="P28" s="30"/>
      <c r="Q28" s="7">
        <f t="shared" si="4"/>
      </c>
      <c r="R28">
        <v>2</v>
      </c>
      <c r="S28">
        <v>1</v>
      </c>
      <c r="T28">
        <f t="shared" si="5"/>
        <v>89</v>
      </c>
      <c r="U28" t="str">
        <f t="shared" si="6"/>
        <v>x</v>
      </c>
      <c r="V28" s="30"/>
      <c r="W28">
        <v>6</v>
      </c>
    </row>
    <row r="29" spans="1:22" ht="14.25">
      <c r="A29" s="30" t="str">
        <f aca="true" t="shared" si="7" ref="A29:D30">A108</f>
        <v>lijm isolatie / feuter</v>
      </c>
      <c r="B29" s="1">
        <f t="shared" si="7"/>
        <v>5</v>
      </c>
      <c r="C29" s="1" t="s">
        <v>150</v>
      </c>
      <c r="D29" s="1">
        <f t="shared" si="7"/>
        <v>25</v>
      </c>
      <c r="E29" s="1">
        <f>B29*D29</f>
        <v>125</v>
      </c>
      <c r="F29" s="1" t="s">
        <v>131</v>
      </c>
      <c r="G29" s="1"/>
      <c r="H29" s="1"/>
      <c r="K29" s="30"/>
      <c r="L29" s="30"/>
      <c r="M29" s="30"/>
      <c r="N29" s="30"/>
      <c r="O29" s="30"/>
      <c r="P29" s="30"/>
      <c r="Q29" s="7">
        <f t="shared" si="4"/>
      </c>
      <c r="R29">
        <v>3</v>
      </c>
      <c r="S29">
        <v>0</v>
      </c>
      <c r="T29">
        <f t="shared" si="5"/>
        <v>111</v>
      </c>
      <c r="U29" t="str">
        <f t="shared" si="6"/>
        <v>x</v>
      </c>
      <c r="V29" s="30"/>
    </row>
    <row r="30" spans="1:22" ht="14.25">
      <c r="A30" s="30" t="str">
        <f t="shared" si="7"/>
        <v>tape plakken isolatie</v>
      </c>
      <c r="B30" s="1">
        <f t="shared" si="7"/>
        <v>1</v>
      </c>
      <c r="C30" s="1" t="str">
        <f t="shared" si="7"/>
        <v>rol</v>
      </c>
      <c r="D30" s="1">
        <f t="shared" si="7"/>
        <v>7.5</v>
      </c>
      <c r="E30" s="1">
        <f>B30*D30</f>
        <v>7.5</v>
      </c>
      <c r="F30" s="1" t="s">
        <v>100</v>
      </c>
      <c r="G30" s="1"/>
      <c r="H30" s="1"/>
      <c r="I30" s="1"/>
      <c r="J30" s="30"/>
      <c r="K30" s="30"/>
      <c r="L30" s="30"/>
      <c r="M30" s="30"/>
      <c r="N30" s="30"/>
      <c r="O30" s="30"/>
      <c r="P30" s="30"/>
      <c r="Q30" s="7">
        <f t="shared" si="4"/>
      </c>
      <c r="R30">
        <v>3</v>
      </c>
      <c r="S30">
        <v>1</v>
      </c>
      <c r="T30">
        <f t="shared" si="5"/>
        <v>126</v>
      </c>
      <c r="U30" t="str">
        <f t="shared" si="6"/>
        <v>x</v>
      </c>
      <c r="V30" s="30"/>
    </row>
    <row r="31" spans="1:23" ht="14.25">
      <c r="A31" s="30" t="str">
        <f>A112</f>
        <v>vloeibare PVC</v>
      </c>
      <c r="B31" s="1">
        <f>B112</f>
        <v>1</v>
      </c>
      <c r="C31" s="1" t="str">
        <f>C112</f>
        <v>liter</v>
      </c>
      <c r="D31" s="1">
        <f>D112</f>
        <v>40</v>
      </c>
      <c r="E31" s="1">
        <f>B31*D31</f>
        <v>40</v>
      </c>
      <c r="F31" s="1" t="str">
        <f>VLOOKUP(B13,W43:AE60,9,FALSE)</f>
        <v>ZILX6140</v>
      </c>
      <c r="G31" s="1"/>
      <c r="H31" s="1"/>
      <c r="K31" s="30"/>
      <c r="L31" s="30"/>
      <c r="M31" s="30"/>
      <c r="N31" s="30"/>
      <c r="O31" s="30"/>
      <c r="P31" s="30"/>
      <c r="Q31" s="7">
        <f t="shared" si="4"/>
      </c>
      <c r="R31">
        <v>4</v>
      </c>
      <c r="S31">
        <v>0</v>
      </c>
      <c r="T31">
        <f t="shared" si="5"/>
        <v>148</v>
      </c>
      <c r="U31" t="str">
        <f t="shared" si="6"/>
        <v>x</v>
      </c>
      <c r="V31" s="30"/>
      <c r="W31" t="s">
        <v>40</v>
      </c>
    </row>
    <row r="32" spans="1:23" ht="14.25">
      <c r="A32" s="30" t="str">
        <f>"Liner gelegd per plan "&amp;B13</f>
        <v>Liner gelegd per plan Lichtblauw</v>
      </c>
      <c r="B32" s="1">
        <v>1</v>
      </c>
      <c r="C32" s="1"/>
      <c r="D32" s="1">
        <f>(E113+E114+E115+E116)*1.1</f>
        <v>4483.6</v>
      </c>
      <c r="E32" s="1">
        <f>B32*D32</f>
        <v>4483.6</v>
      </c>
      <c r="F32" s="1" t="str">
        <f>VLOOKUP(B13,W43:AE60,3,FALSE)</f>
        <v>ZZZE6009 (ZILE0230 + ZILE0235)</v>
      </c>
      <c r="G32" s="1"/>
      <c r="H32" s="1"/>
      <c r="I32" s="1"/>
      <c r="J32" s="30"/>
      <c r="K32" s="30"/>
      <c r="L32" s="30"/>
      <c r="M32" s="30"/>
      <c r="N32" s="30"/>
      <c r="O32" s="30"/>
      <c r="P32" s="30"/>
      <c r="Q32" s="7">
        <f t="shared" si="4"/>
      </c>
      <c r="R32">
        <v>4</v>
      </c>
      <c r="S32">
        <v>1</v>
      </c>
      <c r="T32">
        <f t="shared" si="5"/>
        <v>163</v>
      </c>
      <c r="U32" t="str">
        <f t="shared" si="6"/>
        <v>x</v>
      </c>
      <c r="V32" s="30"/>
      <c r="W32" t="s">
        <v>2</v>
      </c>
    </row>
    <row r="33" spans="7:23" ht="14.25">
      <c r="G33" s="1"/>
      <c r="H33" s="1"/>
      <c r="I33" s="1"/>
      <c r="J33" s="30"/>
      <c r="K33" s="30"/>
      <c r="L33" s="30"/>
      <c r="M33" s="30"/>
      <c r="N33" s="30"/>
      <c r="O33" s="30"/>
      <c r="P33" s="30"/>
      <c r="Q33" s="7">
        <f t="shared" si="4"/>
      </c>
      <c r="R33" s="30">
        <v>5</v>
      </c>
      <c r="S33">
        <v>0</v>
      </c>
      <c r="T33">
        <f t="shared" si="5"/>
        <v>185</v>
      </c>
      <c r="U33" t="str">
        <f t="shared" si="6"/>
        <v>x</v>
      </c>
      <c r="V33" s="30"/>
      <c r="W33" t="s">
        <v>4</v>
      </c>
    </row>
    <row r="34" spans="4:22" ht="14.25">
      <c r="D34" s="1" t="s">
        <v>8</v>
      </c>
      <c r="E34" s="4">
        <f>SUM(E20:E33)</f>
        <v>6081.1</v>
      </c>
      <c r="G34" s="1"/>
      <c r="H34" s="1"/>
      <c r="I34" s="1"/>
      <c r="J34" s="30"/>
      <c r="K34" s="30"/>
      <c r="L34" s="30"/>
      <c r="M34" s="30"/>
      <c r="N34" s="30"/>
      <c r="O34" s="30"/>
      <c r="P34" s="30"/>
      <c r="Q34" s="7">
        <f t="shared" si="4"/>
      </c>
      <c r="R34" s="30">
        <v>5</v>
      </c>
      <c r="S34">
        <v>1</v>
      </c>
      <c r="T34">
        <f t="shared" si="5"/>
        <v>200</v>
      </c>
      <c r="U34" t="str">
        <f t="shared" si="6"/>
        <v>x</v>
      </c>
      <c r="V34" s="30"/>
    </row>
    <row r="35" spans="1:22" ht="14.25">
      <c r="A35" s="30"/>
      <c r="B35" s="1"/>
      <c r="C35" s="1"/>
      <c r="D35" s="1"/>
      <c r="E35" s="1"/>
      <c r="F35" s="1"/>
      <c r="G35" s="1"/>
      <c r="H35" s="1"/>
      <c r="I35" s="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4.25">
      <c r="A36" s="30"/>
      <c r="B36" s="1"/>
      <c r="C36" s="1"/>
      <c r="E36" s="1"/>
      <c r="F36" s="1"/>
      <c r="G36" s="1"/>
      <c r="H36" s="1"/>
      <c r="I36" s="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3" ht="14.25" hidden="1">
      <c r="A37" s="30"/>
      <c r="B37" s="1"/>
      <c r="C37" s="1"/>
      <c r="D37" s="1"/>
      <c r="E37" s="1"/>
      <c r="F37" s="1"/>
      <c r="G37" s="1"/>
      <c r="H37" s="1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t="s">
        <v>40</v>
      </c>
    </row>
    <row r="38" spans="1:23" ht="14.25" hidden="1">
      <c r="A38" s="7" t="s">
        <v>141</v>
      </c>
      <c r="B38" s="1"/>
      <c r="C38" s="1"/>
      <c r="D38" s="1"/>
      <c r="E38" s="1"/>
      <c r="F38" s="1"/>
      <c r="G38" s="1"/>
      <c r="H38" s="1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t="s">
        <v>121</v>
      </c>
    </row>
    <row r="39" spans="1:23" ht="14.25" hidden="1">
      <c r="A39" s="30"/>
      <c r="B39" s="1"/>
      <c r="C39" s="1"/>
      <c r="D39" s="1"/>
      <c r="E39" s="1"/>
      <c r="F39" s="1"/>
      <c r="G39" s="1"/>
      <c r="H39" s="1"/>
      <c r="I39" s="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t="s">
        <v>61</v>
      </c>
    </row>
    <row r="40" spans="1:22" ht="14.25" hidden="1">
      <c r="A40" s="3" t="s">
        <v>140</v>
      </c>
      <c r="B40" s="1"/>
      <c r="C40" s="1"/>
      <c r="D40" s="1"/>
      <c r="E40" s="1"/>
      <c r="G40" s="1"/>
      <c r="H40" s="1"/>
      <c r="I40" s="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4.25" hidden="1">
      <c r="A41" s="1" t="s">
        <v>5</v>
      </c>
      <c r="B41" s="2" t="s">
        <v>6</v>
      </c>
      <c r="C41" s="2"/>
      <c r="D41" s="2" t="s">
        <v>7</v>
      </c>
      <c r="E41" s="2" t="s">
        <v>8</v>
      </c>
      <c r="F41" s="5" t="s">
        <v>118</v>
      </c>
      <c r="G41" s="1"/>
      <c r="H41" s="1"/>
      <c r="I41" s="1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3" ht="14.25" hidden="1">
      <c r="A42" s="1" t="str">
        <f>A20</f>
        <v>Zwembadliner lasprofiel 1.5m  9 X 3cm</v>
      </c>
      <c r="B42" s="1">
        <f>B20</f>
        <v>0</v>
      </c>
      <c r="C42" s="1" t="str">
        <f>C20</f>
        <v>meter</v>
      </c>
      <c r="D42" s="1">
        <f>D20</f>
        <v>18</v>
      </c>
      <c r="E42" s="1">
        <f>E20</f>
        <v>0</v>
      </c>
      <c r="F42" s="1" t="str">
        <f>F20</f>
        <v>ZILX0500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t="s">
        <v>77</v>
      </c>
    </row>
    <row r="43" spans="1:31" ht="14.25" hidden="1">
      <c r="A43" s="1" t="str">
        <f>A21</f>
        <v>Zwembadliner lasprofiel 2m  5X1cm</v>
      </c>
      <c r="B43" s="1">
        <f>B21</f>
        <v>29</v>
      </c>
      <c r="C43" s="1" t="str">
        <f>C21</f>
        <v>meter</v>
      </c>
      <c r="D43" s="1">
        <f>D21</f>
        <v>12</v>
      </c>
      <c r="E43" s="1">
        <f>E21</f>
        <v>348</v>
      </c>
      <c r="F43" s="1" t="str">
        <f>F21</f>
        <v>ZILX0505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t="s">
        <v>64</v>
      </c>
      <c r="X43">
        <v>32</v>
      </c>
      <c r="Y43" t="s">
        <v>156</v>
      </c>
      <c r="AC43" t="s">
        <v>103</v>
      </c>
      <c r="AD43">
        <v>40</v>
      </c>
      <c r="AE43" t="s">
        <v>110</v>
      </c>
    </row>
    <row r="44" spans="1:31" ht="14.25" hidden="1">
      <c r="A44" s="1" t="str">
        <f>A22</f>
        <v>Zwembadliner lasprofiel 1.5meter -  3x3 cm</v>
      </c>
      <c r="B44" s="1">
        <f>B22</f>
        <v>1</v>
      </c>
      <c r="C44" s="1" t="str">
        <f>C22</f>
        <v>meter</v>
      </c>
      <c r="D44" s="1">
        <f>D22</f>
        <v>12</v>
      </c>
      <c r="E44" s="1">
        <f>E22</f>
        <v>12</v>
      </c>
      <c r="F44" s="1" t="str">
        <f>F22</f>
        <v>ZILX0509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t="s">
        <v>65</v>
      </c>
      <c r="X44">
        <v>32</v>
      </c>
      <c r="Y44" t="s">
        <v>157</v>
      </c>
      <c r="AC44" t="s">
        <v>104</v>
      </c>
      <c r="AD44">
        <v>40</v>
      </c>
      <c r="AE44" t="s">
        <v>111</v>
      </c>
    </row>
    <row r="45" spans="1:31" ht="14.25" hidden="1">
      <c r="A45" s="1" t="str">
        <f>A24</f>
        <v>Siliconen kitten profielen</v>
      </c>
      <c r="B45" s="1">
        <f>B24</f>
        <v>3</v>
      </c>
      <c r="C45" s="1" t="str">
        <f>C24</f>
        <v>stuks</v>
      </c>
      <c r="D45" s="1">
        <f>D24</f>
        <v>25</v>
      </c>
      <c r="E45" s="1">
        <f>E24</f>
        <v>75</v>
      </c>
      <c r="F45" s="1" t="str">
        <f>F24</f>
        <v>ZALX6030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t="s">
        <v>69</v>
      </c>
      <c r="X45">
        <v>32</v>
      </c>
      <c r="Y45" t="s">
        <v>158</v>
      </c>
      <c r="AC45" t="s">
        <v>105</v>
      </c>
      <c r="AD45">
        <v>40</v>
      </c>
      <c r="AE45" t="s">
        <v>113</v>
      </c>
    </row>
    <row r="46" spans="1:31" ht="14.25" hidden="1">
      <c r="A46" s="30" t="str">
        <f>A110</f>
        <v>feuter</v>
      </c>
      <c r="B46" s="1">
        <f>B110</f>
        <v>0</v>
      </c>
      <c r="C46" s="1" t="str">
        <f>C110</f>
        <v>m²</v>
      </c>
      <c r="D46" s="1">
        <f>D110</f>
        <v>4</v>
      </c>
      <c r="E46" s="1">
        <f>B46*D46</f>
        <v>0</v>
      </c>
      <c r="F46" s="1" t="s">
        <v>101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t="s">
        <v>70</v>
      </c>
      <c r="X46">
        <v>32</v>
      </c>
      <c r="Y46" t="s">
        <v>81</v>
      </c>
      <c r="AC46" t="s">
        <v>105</v>
      </c>
      <c r="AD46">
        <v>40</v>
      </c>
      <c r="AE46" t="s">
        <v>113</v>
      </c>
    </row>
    <row r="47" spans="1:31" ht="14.25" hidden="1">
      <c r="A47" s="30" t="str">
        <f>A111</f>
        <v>lijm feuter</v>
      </c>
      <c r="B47" s="1">
        <f>B111</f>
        <v>0</v>
      </c>
      <c r="C47" s="1" t="s">
        <v>119</v>
      </c>
      <c r="D47" s="1">
        <f>D111</f>
        <v>25</v>
      </c>
      <c r="E47" s="1">
        <f>B47*D47</f>
        <v>0</v>
      </c>
      <c r="F47" s="1" t="s">
        <v>102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t="s">
        <v>67</v>
      </c>
      <c r="X47">
        <v>32</v>
      </c>
      <c r="Y47" t="s">
        <v>82</v>
      </c>
      <c r="AC47" t="s">
        <v>106</v>
      </c>
      <c r="AD47">
        <v>40</v>
      </c>
      <c r="AE47" t="s">
        <v>116</v>
      </c>
    </row>
    <row r="48" spans="1:31" ht="14.25" hidden="1">
      <c r="A48" s="1" t="str">
        <f aca="true" t="shared" si="8" ref="A48:F48">A31</f>
        <v>vloeibare PVC</v>
      </c>
      <c r="B48" s="1">
        <f t="shared" si="8"/>
        <v>1</v>
      </c>
      <c r="C48" s="1" t="str">
        <f t="shared" si="8"/>
        <v>liter</v>
      </c>
      <c r="D48" s="1">
        <f t="shared" si="8"/>
        <v>40</v>
      </c>
      <c r="E48" s="1">
        <f t="shared" si="8"/>
        <v>40</v>
      </c>
      <c r="F48" s="1" t="str">
        <f t="shared" si="8"/>
        <v>ZILX6140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t="s">
        <v>68</v>
      </c>
      <c r="X48">
        <v>32</v>
      </c>
      <c r="Y48" t="s">
        <v>83</v>
      </c>
      <c r="AC48" t="s">
        <v>107</v>
      </c>
      <c r="AD48">
        <v>40</v>
      </c>
      <c r="AE48" t="s">
        <v>112</v>
      </c>
    </row>
    <row r="49" spans="1:31" ht="14.25" hidden="1">
      <c r="A49" s="30" t="str">
        <f>"Liner gelegd per plan "&amp;B35</f>
        <v>Liner gelegd per plan </v>
      </c>
      <c r="B49" s="1">
        <f>B32</f>
        <v>1</v>
      </c>
      <c r="C49" s="1">
        <f>C32</f>
        <v>0</v>
      </c>
      <c r="D49" s="1">
        <f>D32</f>
        <v>4483.6</v>
      </c>
      <c r="E49" s="1">
        <f>E32</f>
        <v>4483.6</v>
      </c>
      <c r="F49" s="1" t="str">
        <f>F32</f>
        <v>ZZZE6009 (ZILE0230 + ZILE0235)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t="s">
        <v>66</v>
      </c>
      <c r="X49">
        <v>32</v>
      </c>
      <c r="Y49" t="s">
        <v>84</v>
      </c>
      <c r="AC49" t="s">
        <v>108</v>
      </c>
      <c r="AD49">
        <v>40</v>
      </c>
      <c r="AE49" t="s">
        <v>114</v>
      </c>
    </row>
    <row r="50" spans="11:31" ht="14.2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t="s">
        <v>91</v>
      </c>
      <c r="X50">
        <v>34</v>
      </c>
      <c r="Y50" t="s">
        <v>92</v>
      </c>
      <c r="AC50" t="s">
        <v>109</v>
      </c>
      <c r="AD50">
        <v>40</v>
      </c>
      <c r="AE50" t="s">
        <v>115</v>
      </c>
    </row>
    <row r="51" spans="4:31" ht="14.25" hidden="1">
      <c r="D51" s="1" t="s">
        <v>8</v>
      </c>
      <c r="E51" s="1">
        <f>SUM(E42:E50)</f>
        <v>4958.6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t="s">
        <v>73</v>
      </c>
      <c r="X51">
        <v>39</v>
      </c>
      <c r="Y51" t="s">
        <v>85</v>
      </c>
      <c r="AC51" t="s">
        <v>103</v>
      </c>
      <c r="AD51">
        <v>40</v>
      </c>
      <c r="AE51" t="s">
        <v>110</v>
      </c>
    </row>
    <row r="52" spans="11:31" ht="14.25" hidden="1"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t="s">
        <v>74</v>
      </c>
      <c r="X52">
        <v>39</v>
      </c>
      <c r="Y52" t="s">
        <v>86</v>
      </c>
      <c r="AC52" t="s">
        <v>104</v>
      </c>
      <c r="AD52">
        <v>40</v>
      </c>
      <c r="AE52" t="s">
        <v>111</v>
      </c>
    </row>
    <row r="53" spans="11:31" ht="14.2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t="s">
        <v>75</v>
      </c>
      <c r="X53">
        <v>39</v>
      </c>
      <c r="Y53" t="s">
        <v>87</v>
      </c>
      <c r="AC53" t="s">
        <v>105</v>
      </c>
      <c r="AD53">
        <v>40</v>
      </c>
      <c r="AE53" t="s">
        <v>113</v>
      </c>
    </row>
    <row r="54" spans="1:31" ht="14.25" hidden="1">
      <c r="A54" t="s">
        <v>142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t="s">
        <v>76</v>
      </c>
      <c r="X54">
        <v>39</v>
      </c>
      <c r="Y54" t="s">
        <v>88</v>
      </c>
      <c r="AC54" t="s">
        <v>104</v>
      </c>
      <c r="AD54">
        <v>40</v>
      </c>
      <c r="AE54" t="s">
        <v>111</v>
      </c>
    </row>
    <row r="55" spans="1:31" ht="14.25" hidden="1">
      <c r="A55" s="30" t="s">
        <v>143</v>
      </c>
      <c r="B55" s="1"/>
      <c r="C55" s="1"/>
      <c r="D55" s="1"/>
      <c r="E55" s="1"/>
      <c r="F55" s="1"/>
      <c r="G55" s="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t="s">
        <v>71</v>
      </c>
      <c r="X55">
        <v>32</v>
      </c>
      <c r="Y55" t="s">
        <v>89</v>
      </c>
      <c r="AC55" t="s">
        <v>109</v>
      </c>
      <c r="AD55">
        <v>40</v>
      </c>
      <c r="AE55" t="s">
        <v>115</v>
      </c>
    </row>
    <row r="56" spans="1:31" ht="14.25" hidden="1">
      <c r="A56" s="30" t="s">
        <v>144</v>
      </c>
      <c r="B56" s="1"/>
      <c r="C56" s="1"/>
      <c r="D56" s="1"/>
      <c r="E56" s="1"/>
      <c r="F56" s="1"/>
      <c r="G56" s="1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t="s">
        <v>72</v>
      </c>
      <c r="X56">
        <v>32</v>
      </c>
      <c r="Y56" t="s">
        <v>90</v>
      </c>
      <c r="AC56" t="s">
        <v>108</v>
      </c>
      <c r="AD56">
        <v>40</v>
      </c>
      <c r="AE56" t="s">
        <v>114</v>
      </c>
    </row>
    <row r="57" spans="11:22" ht="14.2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4.25" hidden="1">
      <c r="A58" s="30" t="s">
        <v>145</v>
      </c>
      <c r="B58" s="1"/>
      <c r="C58" s="1"/>
      <c r="D58" s="1"/>
      <c r="E58" s="1"/>
      <c r="F58" s="1"/>
      <c r="G58" s="1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4.25" hidden="1">
      <c r="A59" s="30" t="s">
        <v>146</v>
      </c>
      <c r="B59" s="1"/>
      <c r="C59" s="1"/>
      <c r="D59" s="1"/>
      <c r="E59" s="1"/>
      <c r="F59" s="1"/>
      <c r="G59" s="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1:22" ht="14.2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4.25" hidden="1">
      <c r="A61" s="30" t="s">
        <v>27</v>
      </c>
      <c r="B61" s="1"/>
      <c r="C61" s="1"/>
      <c r="D61" s="1"/>
      <c r="E61" s="1"/>
      <c r="F61" s="1"/>
      <c r="G61" s="1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4.25" hidden="1">
      <c r="A62" s="30"/>
      <c r="B62" s="1"/>
      <c r="C62" s="1"/>
      <c r="D62" s="1"/>
      <c r="E62" s="1"/>
      <c r="F62" s="1"/>
      <c r="G62" s="1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ht="14.25" hidden="1">
      <c r="A63" s="30" t="s">
        <v>28</v>
      </c>
      <c r="B63" s="1"/>
      <c r="C63" s="1"/>
      <c r="D63" s="1"/>
      <c r="E63" s="1"/>
      <c r="F63" s="1"/>
      <c r="G63" s="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14.25" hidden="1">
      <c r="A64" s="30" t="s">
        <v>29</v>
      </c>
      <c r="B64" s="1"/>
      <c r="C64" s="1"/>
      <c r="D64" s="1"/>
      <c r="E64" s="1"/>
      <c r="F64" s="1"/>
      <c r="G64" s="1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ht="14.25" hidden="1">
      <c r="A65" s="30" t="s">
        <v>30</v>
      </c>
      <c r="B65" s="1"/>
      <c r="C65" s="1"/>
      <c r="D65" s="1"/>
      <c r="E65" s="1"/>
      <c r="F65" s="1"/>
      <c r="G65" s="1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ht="14.25" hidden="1">
      <c r="A66" s="30" t="s">
        <v>31</v>
      </c>
      <c r="B66" s="1"/>
      <c r="C66" s="1"/>
      <c r="D66" s="1"/>
      <c r="E66" s="1"/>
      <c r="F66" s="1"/>
      <c r="G66" s="1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ht="14.25" hidden="1">
      <c r="A67" s="30" t="s">
        <v>32</v>
      </c>
      <c r="B67" s="1"/>
      <c r="C67" s="1"/>
      <c r="D67" s="1"/>
      <c r="E67" s="1"/>
      <c r="F67" s="1"/>
      <c r="G67" s="1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14.25" hidden="1">
      <c r="A68" s="30"/>
      <c r="B68" s="1"/>
      <c r="C68" s="1"/>
      <c r="D68" s="1"/>
      <c r="E68" s="1"/>
      <c r="F68" s="1"/>
      <c r="G68" s="1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4.25" hidden="1">
      <c r="A69" s="30" t="s">
        <v>147</v>
      </c>
      <c r="B69" s="1"/>
      <c r="C69" s="1"/>
      <c r="D69" s="1"/>
      <c r="E69" s="1"/>
      <c r="F69" s="1"/>
      <c r="G69" s="1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4.25" hidden="1">
      <c r="A70" s="30"/>
      <c r="B70" s="1"/>
      <c r="C70" s="1"/>
      <c r="D70" s="1"/>
      <c r="E70" s="1"/>
      <c r="F70" s="1"/>
      <c r="G70" s="1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14.25" hidden="1">
      <c r="A71" s="30" t="s">
        <v>33</v>
      </c>
      <c r="B71" s="1"/>
      <c r="C71" s="1"/>
      <c r="D71" s="1"/>
      <c r="E71" s="1"/>
      <c r="F71" s="1"/>
      <c r="G71" s="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ht="14.25" hidden="1">
      <c r="A72" s="30" t="s">
        <v>34</v>
      </c>
      <c r="B72" s="1"/>
      <c r="C72" s="1"/>
      <c r="D72" s="1"/>
      <c r="E72" s="1"/>
      <c r="F72" s="1"/>
      <c r="G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2:22" ht="14.25" hidden="1">
      <c r="B73" s="1"/>
      <c r="C73" s="1"/>
      <c r="D73" s="1"/>
      <c r="E73" s="1"/>
      <c r="F73" s="1"/>
      <c r="G73" s="1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4.25" hidden="1">
      <c r="A74" s="30"/>
      <c r="B74" s="1"/>
      <c r="C74" s="1"/>
      <c r="D74" s="1"/>
      <c r="E74" s="1"/>
      <c r="F74" s="1"/>
      <c r="G74" s="1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1:22" ht="14.25" hidden="1"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ht="14.25" hidden="1">
      <c r="A76" s="30"/>
      <c r="B76" s="1"/>
      <c r="C76" s="1"/>
      <c r="D76" s="1"/>
      <c r="E76" s="1"/>
      <c r="F76" s="1"/>
      <c r="G76" s="1"/>
      <c r="H76" s="1"/>
      <c r="I76" s="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ht="14.25" hidden="1">
      <c r="A77" s="30"/>
      <c r="B77" s="1"/>
      <c r="C77" s="1"/>
      <c r="D77" s="1"/>
      <c r="E77" s="1"/>
      <c r="F77" s="1"/>
      <c r="G77" s="1"/>
      <c r="H77" s="1"/>
      <c r="I77" s="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8:22" ht="14.25" hidden="1">
      <c r="H78" s="1"/>
      <c r="I78" s="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8:22" ht="14.25" hidden="1">
      <c r="H79" s="1"/>
      <c r="I79" s="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8:22" ht="14.25" hidden="1">
      <c r="H80" s="1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8:22" ht="14.25" hidden="1">
      <c r="H81" s="1"/>
      <c r="I81" s="1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8:22" ht="14.25" hidden="1">
      <c r="H82" s="1"/>
      <c r="I82" s="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8:22" ht="14.25" hidden="1">
      <c r="H83" s="1"/>
      <c r="I83" s="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8:22" ht="14.25" hidden="1">
      <c r="H84" s="1"/>
      <c r="I84" s="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8:22" ht="14.25" hidden="1">
      <c r="H85" s="1"/>
      <c r="I85" s="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8:22" ht="14.25" hidden="1">
      <c r="H86" s="1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8:22" ht="14.25" hidden="1">
      <c r="H87" s="1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8:22" ht="14.25" hidden="1">
      <c r="H88" s="1"/>
      <c r="I88" s="1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8:22" ht="14.25" hidden="1">
      <c r="H89" s="1"/>
      <c r="I89" s="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8:22" ht="14.25" hidden="1">
      <c r="H90" s="1"/>
      <c r="I90" s="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8:22" ht="14.25" hidden="1">
      <c r="H91" s="1"/>
      <c r="I91" s="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8:22" ht="14.25" hidden="1">
      <c r="H92" s="1"/>
      <c r="I92" s="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8:22" ht="14.25" hidden="1">
      <c r="H93" s="1"/>
      <c r="I93" s="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8:22" ht="14.25" hidden="1">
      <c r="H94" s="1"/>
      <c r="I94" s="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8:22" ht="14.25" hidden="1">
      <c r="H95" s="1"/>
      <c r="I95" s="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ht="14.25" hidden="1">
      <c r="A96" s="30"/>
      <c r="B96" s="1"/>
      <c r="C96" s="1"/>
      <c r="D96" s="1"/>
      <c r="E96" s="1"/>
      <c r="F96" s="1"/>
      <c r="G96" s="1"/>
      <c r="H96" s="1"/>
      <c r="I96" s="1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1:22" ht="14.25" hidden="1"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ht="14.25" hidden="1">
      <c r="A98" s="30"/>
      <c r="B98" s="1"/>
      <c r="C98" s="1"/>
      <c r="D98" s="1"/>
      <c r="E98" s="1"/>
      <c r="F98" s="1"/>
      <c r="G98" s="1"/>
      <c r="H98" s="1"/>
      <c r="I98" s="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ht="14.25" hidden="1">
      <c r="A99" s="30" t="s">
        <v>80</v>
      </c>
      <c r="B99" s="1"/>
      <c r="C99" s="1"/>
      <c r="D99" s="1"/>
      <c r="E99" s="1"/>
      <c r="F99" s="1"/>
      <c r="G99" s="1"/>
      <c r="H99" s="1"/>
      <c r="I99" s="1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14.25" hidden="1">
      <c r="A100" s="30"/>
      <c r="B100" s="1"/>
      <c r="C100" s="1"/>
      <c r="D100" s="1"/>
      <c r="E100" s="1"/>
      <c r="F100" s="1"/>
      <c r="G100" s="1"/>
      <c r="H100" s="1"/>
      <c r="I100" s="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t="14.25" hidden="1">
      <c r="A101" s="30" t="s">
        <v>5</v>
      </c>
      <c r="B101" s="1" t="s">
        <v>6</v>
      </c>
      <c r="C101" s="1"/>
      <c r="D101" s="1" t="s">
        <v>7</v>
      </c>
      <c r="E101" s="1" t="s">
        <v>8</v>
      </c>
      <c r="F101" s="1" t="s">
        <v>62</v>
      </c>
      <c r="G101" s="1"/>
      <c r="H101" s="1"/>
      <c r="I101" s="1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t="14.25" hidden="1">
      <c r="A102" s="30" t="s">
        <v>9</v>
      </c>
      <c r="B102" s="1">
        <f>IF(B9="ja",INT(S4+2),0)</f>
        <v>0</v>
      </c>
      <c r="C102" s="1" t="s">
        <v>0</v>
      </c>
      <c r="D102" s="1">
        <f>D20</f>
        <v>18</v>
      </c>
      <c r="E102" s="1">
        <f>B102*D102</f>
        <v>0</v>
      </c>
      <c r="F102" s="1" t="s">
        <v>93</v>
      </c>
      <c r="G102" s="1"/>
      <c r="H102" s="1"/>
      <c r="I102" s="1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4.25" hidden="1">
      <c r="A103" s="30" t="s">
        <v>10</v>
      </c>
      <c r="B103" s="1">
        <f>IF(B9="ja",0,INT(S4+2))</f>
        <v>29</v>
      </c>
      <c r="C103" s="1" t="s">
        <v>0</v>
      </c>
      <c r="D103" s="1">
        <f>D21</f>
        <v>12</v>
      </c>
      <c r="E103" s="1">
        <f aca="true" t="shared" si="9" ref="E103:E111">B103*D103</f>
        <v>348</v>
      </c>
      <c r="F103" s="1" t="s">
        <v>94</v>
      </c>
      <c r="G103" s="1"/>
      <c r="H103" s="1"/>
      <c r="I103" s="1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14.25" hidden="1">
      <c r="A104" s="30" t="s">
        <v>11</v>
      </c>
      <c r="B104" s="1">
        <f>I6+1</f>
        <v>1</v>
      </c>
      <c r="C104" s="1" t="s">
        <v>0</v>
      </c>
      <c r="D104" s="1">
        <f>D22</f>
        <v>12</v>
      </c>
      <c r="E104" s="1">
        <f t="shared" si="9"/>
        <v>12</v>
      </c>
      <c r="F104" s="1" t="s">
        <v>95</v>
      </c>
      <c r="G104" s="1"/>
      <c r="H104" s="1"/>
      <c r="I104" s="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14.25" hidden="1">
      <c r="A105" s="30" t="s">
        <v>78</v>
      </c>
      <c r="B105" s="1">
        <f>INT((B102+B103+B104)/10)</f>
        <v>3</v>
      </c>
      <c r="C105" s="1" t="s">
        <v>79</v>
      </c>
      <c r="D105" s="1">
        <v>25</v>
      </c>
      <c r="E105" s="1">
        <f t="shared" si="9"/>
        <v>75</v>
      </c>
      <c r="F105" s="1" t="s">
        <v>96</v>
      </c>
      <c r="G105" s="1"/>
      <c r="H105" s="1"/>
      <c r="I105" s="1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14.25" hidden="1">
      <c r="A106" s="30" t="s">
        <v>12</v>
      </c>
      <c r="B106" s="1">
        <f>S7</f>
        <v>84</v>
      </c>
      <c r="C106" s="1" t="s">
        <v>13</v>
      </c>
      <c r="D106" s="1">
        <v>15</v>
      </c>
      <c r="E106" s="1">
        <f t="shared" si="9"/>
        <v>1260</v>
      </c>
      <c r="F106" s="1" t="s">
        <v>98</v>
      </c>
      <c r="G106" s="1"/>
      <c r="H106" s="1"/>
      <c r="I106" s="1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14.25" hidden="1">
      <c r="A107" s="30" t="s">
        <v>14</v>
      </c>
      <c r="B107" s="1">
        <f>S8</f>
        <v>0</v>
      </c>
      <c r="C107" s="1" t="s">
        <v>13</v>
      </c>
      <c r="D107" s="1">
        <v>8</v>
      </c>
      <c r="E107" s="1">
        <f t="shared" si="9"/>
        <v>0</v>
      </c>
      <c r="F107" s="1" t="s">
        <v>99</v>
      </c>
      <c r="G107" s="1"/>
      <c r="H107" s="1"/>
      <c r="I107" s="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14.25" hidden="1">
      <c r="A108" s="30" t="s">
        <v>151</v>
      </c>
      <c r="B108" s="1">
        <f>INT((B107+B106)/15)</f>
        <v>5</v>
      </c>
      <c r="C108" s="1" t="s">
        <v>15</v>
      </c>
      <c r="D108" s="1">
        <v>25</v>
      </c>
      <c r="E108" s="1">
        <f t="shared" si="9"/>
        <v>125</v>
      </c>
      <c r="F108" s="1" t="s">
        <v>97</v>
      </c>
      <c r="G108" s="1"/>
      <c r="H108" s="1"/>
      <c r="I108" s="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14.25" hidden="1">
      <c r="A109" s="30" t="s">
        <v>16</v>
      </c>
      <c r="B109" s="1">
        <f>IF(B106&gt;1,1,0)</f>
        <v>1</v>
      </c>
      <c r="C109" s="1" t="s">
        <v>17</v>
      </c>
      <c r="D109" s="1">
        <v>7.5</v>
      </c>
      <c r="E109" s="1">
        <f t="shared" si="9"/>
        <v>7.5</v>
      </c>
      <c r="F109" s="1" t="s">
        <v>100</v>
      </c>
      <c r="G109" s="1"/>
      <c r="H109" s="1"/>
      <c r="I109" s="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t="14.25" hidden="1">
      <c r="A110" s="30" t="s">
        <v>18</v>
      </c>
      <c r="B110" s="1">
        <f>S9</f>
        <v>0</v>
      </c>
      <c r="C110" s="1" t="s">
        <v>13</v>
      </c>
      <c r="D110" s="1">
        <v>4</v>
      </c>
      <c r="E110" s="1">
        <f t="shared" si="9"/>
        <v>0</v>
      </c>
      <c r="F110" s="1" t="s">
        <v>101</v>
      </c>
      <c r="G110" s="1"/>
      <c r="H110" s="1"/>
      <c r="I110" s="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t="14.25" hidden="1">
      <c r="A111" s="30" t="s">
        <v>19</v>
      </c>
      <c r="B111" s="1">
        <f>INT(B110/20)</f>
        <v>0</v>
      </c>
      <c r="C111" s="1" t="s">
        <v>13</v>
      </c>
      <c r="D111" s="1">
        <v>25</v>
      </c>
      <c r="E111" s="1">
        <f t="shared" si="9"/>
        <v>0</v>
      </c>
      <c r="F111" s="1" t="s">
        <v>102</v>
      </c>
      <c r="G111" s="1"/>
      <c r="H111" s="1"/>
      <c r="I111" s="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4.25" hidden="1">
      <c r="A112" s="30" t="s">
        <v>21</v>
      </c>
      <c r="B112" s="1">
        <v>1</v>
      </c>
      <c r="C112" s="1" t="s">
        <v>22</v>
      </c>
      <c r="D112" s="1">
        <v>40</v>
      </c>
      <c r="E112" s="1">
        <f>B112*D112</f>
        <v>40</v>
      </c>
      <c r="F112" s="1" t="str">
        <f>VLOOKUP(B13,W43:AE60,9,FALSE)</f>
        <v>ZILX6140</v>
      </c>
      <c r="G112" s="1"/>
      <c r="H112" s="1"/>
      <c r="I112" s="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4.25" hidden="1">
      <c r="A113" s="30" t="s">
        <v>20</v>
      </c>
      <c r="B113" s="1">
        <f>INT(AA6)</f>
        <v>93</v>
      </c>
      <c r="C113" s="1" t="s">
        <v>13</v>
      </c>
      <c r="D113" s="1">
        <f>VLOOKUP(B13,W43:X61,2,FALSE)</f>
        <v>32</v>
      </c>
      <c r="E113" s="1">
        <f>B113*D113</f>
        <v>2976</v>
      </c>
      <c r="F113" s="1" t="str">
        <f>VLOOKUP(B13,W43:AE60,3,FALSE)</f>
        <v>ZZZE6009 (ZILE0230 + ZILE0235)</v>
      </c>
      <c r="G113" s="1"/>
      <c r="H113" s="1"/>
      <c r="I113" s="1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4.25" hidden="1">
      <c r="A114" s="30" t="s">
        <v>23</v>
      </c>
      <c r="B114" s="1">
        <v>1</v>
      </c>
      <c r="C114" s="1"/>
      <c r="D114" s="1">
        <v>850</v>
      </c>
      <c r="E114" s="1">
        <f>B114*D114</f>
        <v>850</v>
      </c>
      <c r="F114" s="1" t="s">
        <v>117</v>
      </c>
      <c r="G114" s="1"/>
      <c r="H114" s="1"/>
      <c r="I114" s="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4.25" hidden="1">
      <c r="A115" s="30" t="s">
        <v>25</v>
      </c>
      <c r="B115" s="1">
        <v>1</v>
      </c>
      <c r="C115" s="1"/>
      <c r="D115" s="1">
        <v>250</v>
      </c>
      <c r="E115" s="1">
        <f>B115*D115</f>
        <v>250</v>
      </c>
      <c r="F115" s="1" t="s">
        <v>117</v>
      </c>
      <c r="G115" s="1"/>
      <c r="H115" s="1"/>
      <c r="I115" s="1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4.25" hidden="1">
      <c r="A116" s="30" t="s">
        <v>26</v>
      </c>
      <c r="B116" s="1">
        <f>IF(B7="ja",1,0)</f>
        <v>0</v>
      </c>
      <c r="C116" s="1" t="s">
        <v>24</v>
      </c>
      <c r="D116" s="1">
        <v>250</v>
      </c>
      <c r="E116" s="1">
        <f>B116*D116</f>
        <v>0</v>
      </c>
      <c r="F116" s="1" t="s">
        <v>117</v>
      </c>
      <c r="G116" s="1"/>
      <c r="H116" s="1"/>
      <c r="I116" s="1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4.25" hidden="1">
      <c r="A117" s="30"/>
      <c r="B117" s="1"/>
      <c r="C117" s="1"/>
      <c r="D117" s="1"/>
      <c r="E117" s="1"/>
      <c r="F117" s="1"/>
      <c r="G117" s="1"/>
      <c r="H117" s="1"/>
      <c r="I117" s="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4.25" hidden="1">
      <c r="A118" s="30" t="s">
        <v>8</v>
      </c>
      <c r="B118" s="1"/>
      <c r="C118" s="1"/>
      <c r="D118" s="1"/>
      <c r="E118" s="1">
        <f>SUM(E102:E117)</f>
        <v>5943.5</v>
      </c>
      <c r="F118" s="1"/>
      <c r="G118" s="1"/>
      <c r="H118" s="1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4.25" hidden="1">
      <c r="A119" s="30"/>
      <c r="B119" s="1"/>
      <c r="C119" s="1"/>
      <c r="D119" s="1"/>
      <c r="E119" s="1"/>
      <c r="F119" s="1"/>
      <c r="G119" s="1"/>
      <c r="H119" s="1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4.25" hidden="1">
      <c r="A120" s="30"/>
      <c r="B120" s="1"/>
      <c r="C120" s="1"/>
      <c r="D120" s="1"/>
      <c r="E120" s="1"/>
      <c r="F120" s="1"/>
      <c r="G120" s="1"/>
      <c r="H120" s="1"/>
      <c r="I120" s="1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4.25" hidden="1">
      <c r="A121" s="30"/>
      <c r="B121" s="1"/>
      <c r="C121" s="1"/>
      <c r="D121" s="1"/>
      <c r="E121" s="1"/>
      <c r="F121" s="1"/>
      <c r="G121" s="1"/>
      <c r="H121" s="1"/>
      <c r="I121" s="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4.25" hidden="1">
      <c r="A122" s="30"/>
      <c r="B122" s="1"/>
      <c r="C122" s="1"/>
      <c r="D122" s="1"/>
      <c r="E122" s="1"/>
      <c r="F122" s="1"/>
      <c r="G122" s="1"/>
      <c r="H122" s="1"/>
      <c r="I122" s="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4.25" hidden="1">
      <c r="A123" s="30"/>
      <c r="B123" s="1"/>
      <c r="C123" s="1"/>
      <c r="D123" s="1"/>
      <c r="E123" s="1"/>
      <c r="F123" s="1"/>
      <c r="G123" s="1"/>
      <c r="H123" s="1"/>
      <c r="I123" s="1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4.25" hidden="1">
      <c r="A124" s="30"/>
      <c r="B124" s="1"/>
      <c r="C124" s="1"/>
      <c r="D124" s="1"/>
      <c r="E124" s="1"/>
      <c r="F124" s="1"/>
      <c r="G124" s="1"/>
      <c r="H124" s="1"/>
      <c r="I124" s="1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4.25" hidden="1">
      <c r="A125" s="30"/>
      <c r="B125" s="1"/>
      <c r="C125" s="1"/>
      <c r="D125" s="1"/>
      <c r="E125" s="1"/>
      <c r="F125" s="1"/>
      <c r="G125" s="1"/>
      <c r="H125" s="1"/>
      <c r="I125" s="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4.25" hidden="1">
      <c r="A126" s="30"/>
      <c r="B126" s="1"/>
      <c r="C126" s="1"/>
      <c r="D126" s="1"/>
      <c r="E126" s="1"/>
      <c r="F126" s="1"/>
      <c r="G126" s="1"/>
      <c r="H126" s="1"/>
      <c r="I126" s="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4.25" hidden="1">
      <c r="A127" s="30"/>
      <c r="B127" s="1"/>
      <c r="C127" s="1"/>
      <c r="D127" s="1"/>
      <c r="E127" s="1"/>
      <c r="F127" s="1"/>
      <c r="G127" s="1"/>
      <c r="H127" s="1"/>
      <c r="I127" s="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4.25" hidden="1">
      <c r="A128" s="30"/>
      <c r="B128" s="1"/>
      <c r="C128" s="1"/>
      <c r="D128" s="1"/>
      <c r="E128" s="1"/>
      <c r="F128" s="1"/>
      <c r="G128" s="1"/>
      <c r="H128" s="1"/>
      <c r="I128" s="1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4.25" hidden="1">
      <c r="A129" s="30"/>
      <c r="B129" s="1"/>
      <c r="C129" s="1"/>
      <c r="D129" s="1"/>
      <c r="E129" s="1"/>
      <c r="F129" s="1"/>
      <c r="G129" s="1"/>
      <c r="H129" s="1"/>
      <c r="I129" s="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4.25" hidden="1">
      <c r="A130" s="30"/>
      <c r="B130" s="1"/>
      <c r="C130" s="1"/>
      <c r="D130" s="1"/>
      <c r="E130" s="1"/>
      <c r="F130" s="1"/>
      <c r="G130" s="1"/>
      <c r="H130" s="1"/>
      <c r="I130" s="1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4.25" hidden="1">
      <c r="A131" s="30"/>
      <c r="B131" s="1"/>
      <c r="C131" s="1"/>
      <c r="D131" s="1"/>
      <c r="E131" s="1"/>
      <c r="F131" s="1"/>
      <c r="G131" s="1"/>
      <c r="H131" s="1"/>
      <c r="I131" s="1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0:22" ht="14.25" hidden="1"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0:22" ht="14.25" hidden="1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0:22" ht="14.25" hidden="1"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0:22" ht="14.25" hidden="1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0:22" ht="14.25" hidden="1"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0:22" ht="14.25" hidden="1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0:22" ht="14.25" hidden="1"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ht="14.25" hidden="1">
      <c r="J139" s="30"/>
    </row>
    <row r="140" ht="14.25" hidden="1">
      <c r="J140" s="30"/>
    </row>
    <row r="141" ht="14.25" hidden="1">
      <c r="J141" s="30"/>
    </row>
    <row r="142" ht="14.25" hidden="1">
      <c r="J142" s="30"/>
    </row>
    <row r="143" ht="14.25" hidden="1">
      <c r="J143" s="30"/>
    </row>
    <row r="144" ht="14.25">
      <c r="J144" s="30"/>
    </row>
    <row r="145" ht="14.25">
      <c r="J145" s="30"/>
    </row>
    <row r="146" ht="14.25">
      <c r="J146" s="30"/>
    </row>
    <row r="147" ht="14.25">
      <c r="J147" s="30"/>
    </row>
    <row r="148" ht="14.25">
      <c r="J148" s="30"/>
    </row>
    <row r="149" ht="14.25">
      <c r="J149" s="30"/>
    </row>
    <row r="150" ht="14.25">
      <c r="J150" s="30"/>
    </row>
    <row r="151" ht="14.25">
      <c r="J151" s="30"/>
    </row>
    <row r="152" spans="1:10" ht="14.25">
      <c r="A152" s="30"/>
      <c r="B152" s="1"/>
      <c r="C152" s="1"/>
      <c r="D152" s="1"/>
      <c r="E152" s="1"/>
      <c r="F152" s="1"/>
      <c r="G152" s="1"/>
      <c r="H152" s="1"/>
      <c r="I152" s="1"/>
      <c r="J152" s="30"/>
    </row>
    <row r="153" spans="1:10" ht="14.25">
      <c r="A153" s="30"/>
      <c r="B153" s="1"/>
      <c r="C153" s="1"/>
      <c r="D153" s="1"/>
      <c r="E153" s="1"/>
      <c r="F153" s="1"/>
      <c r="G153" s="1"/>
      <c r="H153" s="1"/>
      <c r="I153" s="1"/>
      <c r="J153" s="30"/>
    </row>
    <row r="174" spans="1:5" ht="14.25">
      <c r="A174" s="1"/>
      <c r="B174" s="1"/>
      <c r="C174" s="1"/>
      <c r="D174" s="1"/>
      <c r="E174" s="1"/>
    </row>
    <row r="181" spans="1:5" ht="14.25">
      <c r="A181" s="1"/>
      <c r="B181" s="1"/>
      <c r="C181" s="1"/>
      <c r="D181" s="1"/>
      <c r="E181" s="1"/>
    </row>
  </sheetData>
  <sheetProtection password="DB31" sheet="1" objects="1" scenarios="1"/>
  <mergeCells count="1">
    <mergeCell ref="B4:D4"/>
  </mergeCells>
  <dataValidations count="8">
    <dataValidation type="list" allowBlank="1" showInputMessage="1" showErrorMessage="1" sqref="B4">
      <formula1>$W$8:$W$14</formula1>
    </dataValidation>
    <dataValidation type="list" allowBlank="1" showInputMessage="1" showErrorMessage="1" sqref="B2">
      <formula1>$W$2:$W$7</formula1>
    </dataValidation>
    <dataValidation type="list" allowBlank="1" showInputMessage="1" showErrorMessage="1" sqref="B3">
      <formula1>$W$15:$W$18</formula1>
    </dataValidation>
    <dataValidation type="list" allowBlank="1" showInputMessage="1" showErrorMessage="1" sqref="B6">
      <formula1>$W$20:$W$28</formula1>
    </dataValidation>
    <dataValidation type="list" allowBlank="1" showInputMessage="1" showErrorMessage="1" sqref="B7 B9">
      <formula1>$W$31:$W$33</formula1>
    </dataValidation>
    <dataValidation type="list" allowBlank="1" showInputMessage="1" showErrorMessage="1" sqref="B10:B11">
      <formula1>$W$37:$W$40</formula1>
    </dataValidation>
    <dataValidation type="list" allowBlank="1" showInputMessage="1" showErrorMessage="1" sqref="K5 B5">
      <formula1>$W$21:$W$28</formula1>
    </dataValidation>
    <dataValidation type="list" allowBlank="1" showInputMessage="1" showErrorMessage="1" sqref="B13">
      <formula1>$W$42:$W$57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2010-12-05T10:06:26Z</dcterms:created>
  <dcterms:modified xsi:type="dcterms:W3CDTF">2018-03-20T08:05:35Z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